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<sst xmlns="http://schemas.openxmlformats.org/spreadsheetml/2006/main" count="605" uniqueCount="186">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</sst>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6" t="s">
        <v>184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5"/>
      <c r="T1" s="85"/>
      <c r="U1" s="86"/>
    </row>
    <row r="2" spans="2:21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180</v>
      </c>
      <c r="O3" s="299" t="s">
        <v>179</v>
      </c>
      <c r="P3" s="299"/>
      <c r="Q3" s="299"/>
      <c r="R3" s="299"/>
      <c r="S3" s="299"/>
      <c r="T3" s="299"/>
      <c r="U3" s="299"/>
    </row>
    <row r="4" spans="1:21" ht="22.5" customHeight="1">
      <c r="A4" s="288"/>
      <c r="B4" s="290"/>
      <c r="C4" s="291"/>
      <c r="D4" s="292"/>
      <c r="E4" s="282" t="s">
        <v>176</v>
      </c>
      <c r="F4" s="308" t="s">
        <v>33</v>
      </c>
      <c r="G4" s="300" t="s">
        <v>177</v>
      </c>
      <c r="H4" s="297" t="s">
        <v>178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185</v>
      </c>
      <c r="P4" s="300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181</v>
      </c>
      <c r="L5" s="304"/>
      <c r="M5" s="305"/>
      <c r="N5" s="298"/>
      <c r="O5" s="285"/>
      <c r="P5" s="301"/>
      <c r="Q5" s="302"/>
      <c r="R5" s="313" t="s">
        <v>182</v>
      </c>
      <c r="S5" s="314"/>
      <c r="T5" s="315" t="s">
        <v>183</v>
      </c>
      <c r="U5" s="31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331229.5</v>
      </c>
      <c r="G8" s="149">
        <f aca="true" t="shared" si="0" ref="G8:G40">F8-E8</f>
        <v>-66748</v>
      </c>
      <c r="H8" s="150">
        <f>F8/E8*100</f>
        <v>83.22819757398345</v>
      </c>
      <c r="I8" s="151">
        <f>F8-D8</f>
        <v>-967221.6000000001</v>
      </c>
      <c r="J8" s="151">
        <f>F8/D8*100</f>
        <v>25.509585998271323</v>
      </c>
      <c r="K8" s="149">
        <v>294130.62</v>
      </c>
      <c r="L8" s="149">
        <f aca="true" t="shared" si="1" ref="L8:L54">F8-K8</f>
        <v>37098.880000000005</v>
      </c>
      <c r="M8" s="203">
        <f aca="true" t="shared" si="2" ref="M8:M31">F8/K8</f>
        <v>1.1261306286302324</v>
      </c>
      <c r="N8" s="149">
        <f>N9+N15+N18+N19+N23+N17</f>
        <v>105438</v>
      </c>
      <c r="O8" s="149">
        <f>O9+O15+O18+O19+O23+O17</f>
        <v>37683.68</v>
      </c>
      <c r="P8" s="149">
        <f>O8-N8</f>
        <v>-67754.32</v>
      </c>
      <c r="Q8" s="149">
        <f>O8/N8*100</f>
        <v>35.74013164134373</v>
      </c>
      <c r="R8" s="15">
        <f>R9+R15+R18+R19+R23</f>
        <v>105040</v>
      </c>
      <c r="S8" s="15">
        <f>O8-R8</f>
        <v>-67356.32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187674.43</v>
      </c>
      <c r="G9" s="148">
        <f t="shared" si="0"/>
        <v>-33185.57000000001</v>
      </c>
      <c r="H9" s="155">
        <f>F9/E9*100</f>
        <v>84.97438648917867</v>
      </c>
      <c r="I9" s="156">
        <f>F9-D9</f>
        <v>-578970.5700000001</v>
      </c>
      <c r="J9" s="156">
        <f>F9/D9*100</f>
        <v>24.47996530336727</v>
      </c>
      <c r="K9" s="225">
        <v>158037.8</v>
      </c>
      <c r="L9" s="157">
        <f t="shared" si="1"/>
        <v>29636.630000000005</v>
      </c>
      <c r="M9" s="204">
        <f t="shared" si="2"/>
        <v>1.1875287431234807</v>
      </c>
      <c r="N9" s="155">
        <f>E9-березень!E9</f>
        <v>59000</v>
      </c>
      <c r="O9" s="158">
        <f>F9-березень!F9</f>
        <v>25487.070000000007</v>
      </c>
      <c r="P9" s="159">
        <f>O9-N9</f>
        <v>-33512.92999999999</v>
      </c>
      <c r="Q9" s="156">
        <f>O9/N9*100</f>
        <v>43.19842372881357</v>
      </c>
      <c r="R9" s="99">
        <v>61380</v>
      </c>
      <c r="S9" s="99">
        <f>O9-R9</f>
        <v>-35892.92999999999</v>
      </c>
      <c r="T9" s="99">
        <f>березень!F9+квітень!R9</f>
        <v>223567.36</v>
      </c>
      <c r="U9" s="99">
        <f>F9-T9</f>
        <v>-35892.92999999999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172240.45</v>
      </c>
      <c r="G10" s="102">
        <f t="shared" si="0"/>
        <v>-27895.54999999999</v>
      </c>
      <c r="H10" s="29">
        <f aca="true" t="shared" si="3" ref="H10:H39">F10/E10*100</f>
        <v>86.0617030419315</v>
      </c>
      <c r="I10" s="103">
        <f aca="true" t="shared" si="4" ref="I10:I40">F10-D10</f>
        <v>-529076.55</v>
      </c>
      <c r="J10" s="103">
        <f aca="true" t="shared" si="5" ref="J10:J39">F10/D10*100</f>
        <v>24.559571491921627</v>
      </c>
      <c r="K10" s="105">
        <v>137815.99</v>
      </c>
      <c r="L10" s="105">
        <f t="shared" si="1"/>
        <v>34424.46000000002</v>
      </c>
      <c r="M10" s="205">
        <f t="shared" si="2"/>
        <v>1.2497856743618794</v>
      </c>
      <c r="N10" s="104">
        <f>E10-березень!E10</f>
        <v>53624</v>
      </c>
      <c r="O10" s="142">
        <f>F10-березень!F10</f>
        <v>23925.080000000016</v>
      </c>
      <c r="P10" s="105">
        <f aca="true" t="shared" si="6" ref="P10:P40">O10-N10</f>
        <v>-29698.919999999984</v>
      </c>
      <c r="Q10" s="103">
        <f aca="true" t="shared" si="7" ref="Q10:Q27">O10/N10*100</f>
        <v>44.6163658063554</v>
      </c>
      <c r="R10" s="36"/>
      <c r="S10" s="99">
        <f aca="true" t="shared" si="8" ref="S10:S35">O10-R10</f>
        <v>23925.080000000016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10089.36</v>
      </c>
      <c r="G11" s="102">
        <f t="shared" si="0"/>
        <v>-4610.639999999999</v>
      </c>
      <c r="H11" s="29">
        <f t="shared" si="3"/>
        <v>68.63510204081634</v>
      </c>
      <c r="I11" s="103">
        <f t="shared" si="4"/>
        <v>-36416.64</v>
      </c>
      <c r="J11" s="103">
        <f t="shared" si="5"/>
        <v>21.694749064636824</v>
      </c>
      <c r="K11" s="105">
        <v>11487.54</v>
      </c>
      <c r="L11" s="105">
        <f t="shared" si="1"/>
        <v>-1398.1800000000003</v>
      </c>
      <c r="M11" s="205">
        <f t="shared" si="2"/>
        <v>0.8782872573240224</v>
      </c>
      <c r="N11" s="104">
        <f>E11-березень!E11</f>
        <v>3900</v>
      </c>
      <c r="O11" s="142">
        <f>F11-березень!F11</f>
        <v>984.880000000001</v>
      </c>
      <c r="P11" s="105">
        <f t="shared" si="6"/>
        <v>-2915.119999999999</v>
      </c>
      <c r="Q11" s="103">
        <f t="shared" si="7"/>
        <v>25.253333333333362</v>
      </c>
      <c r="R11" s="36"/>
      <c r="S11" s="99">
        <f t="shared" si="8"/>
        <v>984.880000000001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2126</v>
      </c>
      <c r="G12" s="102">
        <f t="shared" si="0"/>
        <v>-214</v>
      </c>
      <c r="H12" s="29">
        <f t="shared" si="3"/>
        <v>90.85470085470085</v>
      </c>
      <c r="I12" s="103">
        <f t="shared" si="4"/>
        <v>-6154</v>
      </c>
      <c r="J12" s="103">
        <f t="shared" si="5"/>
        <v>25.67632850241546</v>
      </c>
      <c r="K12" s="105">
        <v>4096.43</v>
      </c>
      <c r="L12" s="105">
        <f t="shared" si="1"/>
        <v>-1970.4300000000003</v>
      </c>
      <c r="M12" s="205">
        <f t="shared" si="2"/>
        <v>0.5189884850955587</v>
      </c>
      <c r="N12" s="104">
        <f>E12-березень!E12</f>
        <v>600</v>
      </c>
      <c r="O12" s="142">
        <f>F12-березень!F12</f>
        <v>361.30999999999995</v>
      </c>
      <c r="P12" s="105">
        <f t="shared" si="6"/>
        <v>-238.69000000000005</v>
      </c>
      <c r="Q12" s="103">
        <f t="shared" si="7"/>
        <v>60.21833333333333</v>
      </c>
      <c r="R12" s="36"/>
      <c r="S12" s="99">
        <f t="shared" si="8"/>
        <v>361.30999999999995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2736.45</v>
      </c>
      <c r="G13" s="102">
        <f t="shared" si="0"/>
        <v>-563.5500000000002</v>
      </c>
      <c r="H13" s="29">
        <f t="shared" si="3"/>
        <v>82.92272727272727</v>
      </c>
      <c r="I13" s="103">
        <f t="shared" si="4"/>
        <v>-6653.55</v>
      </c>
      <c r="J13" s="103">
        <f t="shared" si="5"/>
        <v>29.14217252396166</v>
      </c>
      <c r="K13" s="105">
        <v>3211.48</v>
      </c>
      <c r="L13" s="105">
        <f t="shared" si="1"/>
        <v>-475.0300000000002</v>
      </c>
      <c r="M13" s="205">
        <f t="shared" si="2"/>
        <v>0.8520837744591279</v>
      </c>
      <c r="N13" s="104">
        <f>E13-березень!E13</f>
        <v>780</v>
      </c>
      <c r="O13" s="142">
        <f>F13-березень!F13</f>
        <v>107.28999999999996</v>
      </c>
      <c r="P13" s="105">
        <f t="shared" si="6"/>
        <v>-672.71</v>
      </c>
      <c r="Q13" s="103">
        <f t="shared" si="7"/>
        <v>13.7551282051282</v>
      </c>
      <c r="R13" s="36"/>
      <c r="S13" s="99">
        <f t="shared" si="8"/>
        <v>107.28999999999996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29481.07</v>
      </c>
      <c r="G19" s="160">
        <f t="shared" si="0"/>
        <v>-8418.93</v>
      </c>
      <c r="H19" s="162">
        <f t="shared" si="3"/>
        <v>77.78646437994723</v>
      </c>
      <c r="I19" s="163">
        <f t="shared" si="4"/>
        <v>-100518.93</v>
      </c>
      <c r="J19" s="163">
        <f t="shared" si="5"/>
        <v>22.677746153846154</v>
      </c>
      <c r="K19" s="159">
        <v>26018.63</v>
      </c>
      <c r="L19" s="165">
        <f t="shared" si="1"/>
        <v>3462.4399999999987</v>
      </c>
      <c r="M19" s="211">
        <f t="shared" si="2"/>
        <v>1.133075415577223</v>
      </c>
      <c r="N19" s="162">
        <f>E19-березень!E19</f>
        <v>10100</v>
      </c>
      <c r="O19" s="166">
        <f>F19-березень!F19</f>
        <v>1847.2099999999991</v>
      </c>
      <c r="P19" s="165">
        <f t="shared" si="6"/>
        <v>-8252.79</v>
      </c>
      <c r="Q19" s="163">
        <f t="shared" si="7"/>
        <v>18.28920792079207</v>
      </c>
      <c r="R19" s="36">
        <v>8000</v>
      </c>
      <c r="S19" s="99">
        <f t="shared" si="8"/>
        <v>-6152.790000000001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17924.33</v>
      </c>
      <c r="G20" s="251">
        <f t="shared" si="0"/>
        <v>-19975.67</v>
      </c>
      <c r="H20" s="193">
        <f t="shared" si="3"/>
        <v>47.29374670184697</v>
      </c>
      <c r="I20" s="252">
        <f t="shared" si="4"/>
        <v>-112075.67</v>
      </c>
      <c r="J20" s="252">
        <f t="shared" si="5"/>
        <v>13.787946153846157</v>
      </c>
      <c r="K20" s="253">
        <v>26018.6</v>
      </c>
      <c r="L20" s="164">
        <f t="shared" si="1"/>
        <v>-8094.269999999997</v>
      </c>
      <c r="M20" s="254">
        <f t="shared" si="2"/>
        <v>0.6889044760286873</v>
      </c>
      <c r="N20" s="193">
        <f>E20-березень!E20</f>
        <v>10100</v>
      </c>
      <c r="O20" s="177">
        <f>F20-березень!F20</f>
        <v>190.27000000000044</v>
      </c>
      <c r="P20" s="164">
        <f t="shared" si="6"/>
        <v>-9909.73</v>
      </c>
      <c r="Q20" s="252">
        <f t="shared" si="7"/>
        <v>1.8838613861386182</v>
      </c>
      <c r="R20" s="106">
        <v>4300</v>
      </c>
      <c r="S20" s="99">
        <f t="shared" si="8"/>
        <v>-4109.73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2299.86</v>
      </c>
      <c r="G21" s="251">
        <f t="shared" si="0"/>
        <v>2299.86</v>
      </c>
      <c r="H21" s="193"/>
      <c r="I21" s="252">
        <f t="shared" si="4"/>
        <v>2299.86</v>
      </c>
      <c r="J21" s="252"/>
      <c r="K21" s="253">
        <v>0</v>
      </c>
      <c r="L21" s="164">
        <f t="shared" si="1"/>
        <v>2299.86</v>
      </c>
      <c r="M21" s="254"/>
      <c r="N21" s="193">
        <f>E21-березень!E21</f>
        <v>0</v>
      </c>
      <c r="O21" s="177">
        <f>F21-березень!F21</f>
        <v>63.070000000000164</v>
      </c>
      <c r="P21" s="164"/>
      <c r="Q21" s="252"/>
      <c r="R21" s="106">
        <v>700</v>
      </c>
      <c r="S21" s="99">
        <f t="shared" si="8"/>
        <v>-636.9299999999998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9256.88</v>
      </c>
      <c r="G22" s="251">
        <f t="shared" si="0"/>
        <v>9256.88</v>
      </c>
      <c r="H22" s="193"/>
      <c r="I22" s="252">
        <f t="shared" si="4"/>
        <v>9256.88</v>
      </c>
      <c r="J22" s="252"/>
      <c r="K22" s="253">
        <v>0</v>
      </c>
      <c r="L22" s="164">
        <f t="shared" si="1"/>
        <v>9256.88</v>
      </c>
      <c r="M22" s="254"/>
      <c r="N22" s="193">
        <f>E22-березень!E22</f>
        <v>0</v>
      </c>
      <c r="O22" s="177">
        <f>F22-березень!F22</f>
        <v>1593.869999999999</v>
      </c>
      <c r="P22" s="164"/>
      <c r="Q22" s="252"/>
      <c r="R22" s="106">
        <v>3000</v>
      </c>
      <c r="S22" s="99">
        <f t="shared" si="8"/>
        <v>-1406.130000000001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114321.95999999999</v>
      </c>
      <c r="G23" s="148">
        <f t="shared" si="0"/>
        <v>-24654.540000000008</v>
      </c>
      <c r="H23" s="155">
        <f t="shared" si="3"/>
        <v>82.25992164142858</v>
      </c>
      <c r="I23" s="156">
        <f t="shared" si="4"/>
        <v>-286808.14</v>
      </c>
      <c r="J23" s="156">
        <f t="shared" si="5"/>
        <v>28.499970458462233</v>
      </c>
      <c r="K23" s="156">
        <v>109782.5</v>
      </c>
      <c r="L23" s="159">
        <f t="shared" si="1"/>
        <v>4539.459999999992</v>
      </c>
      <c r="M23" s="207">
        <f t="shared" si="2"/>
        <v>1.041349577573839</v>
      </c>
      <c r="N23" s="155">
        <f>E23-березень!E23</f>
        <v>36338</v>
      </c>
      <c r="O23" s="158">
        <f>F23-березень!F23</f>
        <v>10349.399999999994</v>
      </c>
      <c r="P23" s="159">
        <f t="shared" si="6"/>
        <v>-25988.600000000006</v>
      </c>
      <c r="Q23" s="156">
        <f t="shared" si="7"/>
        <v>28.48092905498375</v>
      </c>
      <c r="R23" s="281">
        <f>R24+R32+R33+R34+R35</f>
        <v>35614</v>
      </c>
      <c r="S23" s="99">
        <f t="shared" si="8"/>
        <v>-25264.600000000006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51535.61</v>
      </c>
      <c r="G24" s="148">
        <f t="shared" si="0"/>
        <v>-15808.190000000002</v>
      </c>
      <c r="H24" s="155">
        <f t="shared" si="3"/>
        <v>76.52613900611489</v>
      </c>
      <c r="I24" s="156">
        <f t="shared" si="4"/>
        <v>-155085.39</v>
      </c>
      <c r="J24" s="156">
        <f t="shared" si="5"/>
        <v>24.942096882698277</v>
      </c>
      <c r="K24" s="156">
        <v>58036.24</v>
      </c>
      <c r="L24" s="159">
        <f t="shared" si="1"/>
        <v>-6500.629999999997</v>
      </c>
      <c r="M24" s="207">
        <f t="shared" si="2"/>
        <v>0.887990159252219</v>
      </c>
      <c r="N24" s="155">
        <f>E24-березень!E24</f>
        <v>19503</v>
      </c>
      <c r="O24" s="158">
        <f>F24-березень!F24</f>
        <v>2972.25</v>
      </c>
      <c r="P24" s="159">
        <f t="shared" si="6"/>
        <v>-16530.75</v>
      </c>
      <c r="Q24" s="156">
        <f t="shared" si="7"/>
        <v>15.239963082602676</v>
      </c>
      <c r="R24" s="106">
        <f>R25+R28+R29</f>
        <v>18772</v>
      </c>
      <c r="S24" s="99">
        <f t="shared" si="8"/>
        <v>-15799.75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6200.1</v>
      </c>
      <c r="G25" s="169">
        <f t="shared" si="0"/>
        <v>-3129.8999999999996</v>
      </c>
      <c r="H25" s="171">
        <f t="shared" si="3"/>
        <v>66.45337620578779</v>
      </c>
      <c r="I25" s="172">
        <f t="shared" si="4"/>
        <v>-16608.9</v>
      </c>
      <c r="J25" s="172">
        <f t="shared" si="5"/>
        <v>27.18269104300934</v>
      </c>
      <c r="K25" s="173">
        <v>8413.21</v>
      </c>
      <c r="L25" s="164">
        <f t="shared" si="1"/>
        <v>-2213.1099999999988</v>
      </c>
      <c r="M25" s="213">
        <f t="shared" si="2"/>
        <v>0.7369482040743071</v>
      </c>
      <c r="N25" s="193">
        <f>E25-березень!E25</f>
        <v>4380</v>
      </c>
      <c r="O25" s="177">
        <f>F25-березень!F25</f>
        <v>986.1600000000008</v>
      </c>
      <c r="P25" s="175">
        <f t="shared" si="6"/>
        <v>-3393.8399999999992</v>
      </c>
      <c r="Q25" s="172">
        <f t="shared" si="7"/>
        <v>22.515068493150704</v>
      </c>
      <c r="R25" s="106">
        <v>3710</v>
      </c>
      <c r="S25" s="99">
        <f t="shared" si="8"/>
        <v>-2723.8399999999992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158.43</v>
      </c>
      <c r="G26" s="196">
        <f t="shared" si="0"/>
        <v>-391.57</v>
      </c>
      <c r="H26" s="197">
        <f t="shared" si="3"/>
        <v>28.805454545454545</v>
      </c>
      <c r="I26" s="198">
        <f t="shared" si="4"/>
        <v>-1663.87</v>
      </c>
      <c r="J26" s="198">
        <f t="shared" si="5"/>
        <v>8.693958184711628</v>
      </c>
      <c r="K26" s="198">
        <v>252.55</v>
      </c>
      <c r="L26" s="198">
        <f t="shared" si="1"/>
        <v>-94.12</v>
      </c>
      <c r="M26" s="226">
        <f t="shared" si="2"/>
        <v>0.627321322510394</v>
      </c>
      <c r="N26" s="234">
        <f>E26-березень!E26</f>
        <v>300</v>
      </c>
      <c r="O26" s="234">
        <f>F26-березень!F26</f>
        <v>1.3600000000000136</v>
      </c>
      <c r="P26" s="198">
        <f t="shared" si="6"/>
        <v>-298.64</v>
      </c>
      <c r="Q26" s="198">
        <f t="shared" si="7"/>
        <v>0.45333333333333786</v>
      </c>
      <c r="R26" s="106"/>
      <c r="S26" s="99">
        <f t="shared" si="8"/>
        <v>1.3600000000000136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6041.67</v>
      </c>
      <c r="G27" s="196">
        <f t="shared" si="0"/>
        <v>-2738.33</v>
      </c>
      <c r="H27" s="197">
        <f t="shared" si="3"/>
        <v>68.8117312072893</v>
      </c>
      <c r="I27" s="198">
        <f t="shared" si="4"/>
        <v>-14945.03</v>
      </c>
      <c r="J27" s="198">
        <f t="shared" si="5"/>
        <v>28.788089599603556</v>
      </c>
      <c r="K27" s="198">
        <v>8160.66</v>
      </c>
      <c r="L27" s="198">
        <f t="shared" si="1"/>
        <v>-2118.99</v>
      </c>
      <c r="M27" s="226">
        <f t="shared" si="2"/>
        <v>0.7403408547838043</v>
      </c>
      <c r="N27" s="234">
        <f>E27-березень!E27</f>
        <v>4080</v>
      </c>
      <c r="O27" s="234">
        <f>F27-березень!F27</f>
        <v>984.8000000000002</v>
      </c>
      <c r="P27" s="198">
        <f t="shared" si="6"/>
        <v>-3095.2</v>
      </c>
      <c r="Q27" s="198">
        <f t="shared" si="7"/>
        <v>24.137254901960787</v>
      </c>
      <c r="R27" s="106"/>
      <c r="S27" s="99">
        <f t="shared" si="8"/>
        <v>984.8000000000002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80</v>
      </c>
      <c r="G28" s="169">
        <f t="shared" si="0"/>
        <v>-43.8</v>
      </c>
      <c r="H28" s="171">
        <f t="shared" si="3"/>
        <v>64.62035541195476</v>
      </c>
      <c r="I28" s="172">
        <f t="shared" si="4"/>
        <v>-740</v>
      </c>
      <c r="J28" s="172">
        <f t="shared" si="5"/>
        <v>9.75609756097561</v>
      </c>
      <c r="K28" s="172">
        <v>386.58</v>
      </c>
      <c r="L28" s="172">
        <f t="shared" si="1"/>
        <v>-306.58</v>
      </c>
      <c r="M28" s="210">
        <f t="shared" si="2"/>
        <v>0.20694293548553988</v>
      </c>
      <c r="N28" s="193">
        <f>E28-березень!E28</f>
        <v>68</v>
      </c>
      <c r="O28" s="177">
        <f>F28-березень!F28</f>
        <v>48.75</v>
      </c>
      <c r="P28" s="175">
        <f t="shared" si="6"/>
        <v>-19.25</v>
      </c>
      <c r="Q28" s="172">
        <f>O28/N28*100</f>
        <v>71.69117647058823</v>
      </c>
      <c r="R28" s="106">
        <v>7</v>
      </c>
      <c r="S28" s="99">
        <f t="shared" si="8"/>
        <v>41.75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45255.51</v>
      </c>
      <c r="G29" s="169">
        <f t="shared" si="0"/>
        <v>-12634.489999999998</v>
      </c>
      <c r="H29" s="171">
        <f t="shared" si="3"/>
        <v>78.17500431853516</v>
      </c>
      <c r="I29" s="172">
        <f t="shared" si="4"/>
        <v>-137736.49</v>
      </c>
      <c r="J29" s="172">
        <f t="shared" si="5"/>
        <v>24.730868016088138</v>
      </c>
      <c r="K29" s="173">
        <v>49236.46</v>
      </c>
      <c r="L29" s="173">
        <f t="shared" si="1"/>
        <v>-3980.949999999997</v>
      </c>
      <c r="M29" s="209">
        <f t="shared" si="2"/>
        <v>0.9191462993074645</v>
      </c>
      <c r="N29" s="193">
        <f>E29-березень!E29</f>
        <v>15055</v>
      </c>
      <c r="O29" s="177">
        <f>F29-березень!F29</f>
        <v>1937.3400000000038</v>
      </c>
      <c r="P29" s="175">
        <f t="shared" si="6"/>
        <v>-13117.659999999996</v>
      </c>
      <c r="Q29" s="172">
        <f>O29/N29*100</f>
        <v>12.868415808701453</v>
      </c>
      <c r="R29" s="106">
        <v>15055</v>
      </c>
      <c r="S29" s="99">
        <f t="shared" si="8"/>
        <v>-13117.659999999996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14765.5</v>
      </c>
      <c r="G30" s="196">
        <f t="shared" si="0"/>
        <v>-2664.5</v>
      </c>
      <c r="H30" s="197">
        <f t="shared" si="3"/>
        <v>84.71313826735513</v>
      </c>
      <c r="I30" s="198">
        <f t="shared" si="4"/>
        <v>-42767.5</v>
      </c>
      <c r="J30" s="198">
        <f t="shared" si="5"/>
        <v>25.66440130012341</v>
      </c>
      <c r="K30" s="198">
        <v>15205.9</v>
      </c>
      <c r="L30" s="198">
        <f t="shared" si="1"/>
        <v>-440.39999999999964</v>
      </c>
      <c r="M30" s="226">
        <f t="shared" si="2"/>
        <v>0.9710375577900684</v>
      </c>
      <c r="N30" s="234">
        <f>E30-березень!E30</f>
        <v>4600</v>
      </c>
      <c r="O30" s="234">
        <f>F30-березень!F30</f>
        <v>330.0599999999995</v>
      </c>
      <c r="P30" s="198">
        <f t="shared" si="6"/>
        <v>-4269.9400000000005</v>
      </c>
      <c r="Q30" s="198">
        <f>O30/N30*100</f>
        <v>7.1752173913043364</v>
      </c>
      <c r="R30" s="106"/>
      <c r="S30" s="99">
        <f t="shared" si="8"/>
        <v>330.0599999999995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30490.01</v>
      </c>
      <c r="G31" s="196">
        <f t="shared" si="0"/>
        <v>-9969.990000000002</v>
      </c>
      <c r="H31" s="197">
        <f t="shared" si="3"/>
        <v>75.35840336134454</v>
      </c>
      <c r="I31" s="198">
        <f t="shared" si="4"/>
        <v>-94968.99</v>
      </c>
      <c r="J31" s="198">
        <f t="shared" si="5"/>
        <v>24.30276823504093</v>
      </c>
      <c r="K31" s="198">
        <v>34030.56</v>
      </c>
      <c r="L31" s="198">
        <f t="shared" si="1"/>
        <v>-3540.5499999999993</v>
      </c>
      <c r="M31" s="226">
        <f t="shared" si="2"/>
        <v>0.89595969034891</v>
      </c>
      <c r="N31" s="234">
        <f>E31-березень!E31</f>
        <v>10455</v>
      </c>
      <c r="O31" s="234">
        <f>F31-березень!F31</f>
        <v>1607.2799999999988</v>
      </c>
      <c r="P31" s="198">
        <f t="shared" si="6"/>
        <v>-8847.720000000001</v>
      </c>
      <c r="Q31" s="198">
        <f>O31/N31*100</f>
        <v>15.373314203730262</v>
      </c>
      <c r="R31" s="106"/>
      <c r="S31" s="99">
        <f t="shared" si="8"/>
        <v>1607.2799999999988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62774.44</v>
      </c>
      <c r="G35" s="160">
        <f t="shared" si="0"/>
        <v>-8831.259999999995</v>
      </c>
      <c r="H35" s="162">
        <f t="shared" si="3"/>
        <v>87.66681982020985</v>
      </c>
      <c r="I35" s="163">
        <f t="shared" si="4"/>
        <v>-131619.66</v>
      </c>
      <c r="J35" s="163">
        <f t="shared" si="5"/>
        <v>32.292358667264075</v>
      </c>
      <c r="K35" s="176">
        <v>51820.56</v>
      </c>
      <c r="L35" s="176">
        <f>F35-K35</f>
        <v>10953.880000000005</v>
      </c>
      <c r="M35" s="224">
        <f>F35/K35</f>
        <v>1.2113809653928866</v>
      </c>
      <c r="N35" s="155">
        <f>E35-березень!E35</f>
        <v>16827</v>
      </c>
      <c r="O35" s="158">
        <f>F35-березень!F35</f>
        <v>7377.82</v>
      </c>
      <c r="P35" s="165">
        <f t="shared" si="6"/>
        <v>-9449.18</v>
      </c>
      <c r="Q35" s="163">
        <f>O35/N35*100</f>
        <v>43.845129850834965</v>
      </c>
      <c r="R35" s="106">
        <v>16827</v>
      </c>
      <c r="S35" s="99">
        <f t="shared" si="8"/>
        <v>-9449.18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11983.66</v>
      </c>
      <c r="G37" s="102">
        <f t="shared" si="0"/>
        <v>-1236.3400000000001</v>
      </c>
      <c r="H37" s="104">
        <f t="shared" si="3"/>
        <v>90.64795763993948</v>
      </c>
      <c r="I37" s="103">
        <f t="shared" si="4"/>
        <v>-29016.34</v>
      </c>
      <c r="J37" s="103">
        <f t="shared" si="5"/>
        <v>29.228439024390244</v>
      </c>
      <c r="K37" s="126">
        <v>12484.76</v>
      </c>
      <c r="L37" s="126">
        <f t="shared" si="1"/>
        <v>-501.10000000000036</v>
      </c>
      <c r="M37" s="214">
        <f t="shared" si="9"/>
        <v>0.9598630650489076</v>
      </c>
      <c r="N37" s="104">
        <f>E37-березень!E37</f>
        <v>2820</v>
      </c>
      <c r="O37" s="142">
        <f>F37-березень!F37</f>
        <v>1035.7399999999998</v>
      </c>
      <c r="P37" s="105">
        <f t="shared" si="6"/>
        <v>-1784.2600000000002</v>
      </c>
      <c r="Q37" s="103">
        <f>O37/N37*100</f>
        <v>36.72836879432623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50774.66</v>
      </c>
      <c r="G38" s="102">
        <f t="shared" si="0"/>
        <v>-7585.3399999999965</v>
      </c>
      <c r="H38" s="104">
        <f t="shared" si="3"/>
        <v>87.0025017135024</v>
      </c>
      <c r="I38" s="103">
        <f t="shared" si="4"/>
        <v>-102564.44</v>
      </c>
      <c r="J38" s="103">
        <f t="shared" si="5"/>
        <v>33.112663371573205</v>
      </c>
      <c r="K38" s="126">
        <v>39321.61</v>
      </c>
      <c r="L38" s="126">
        <f t="shared" si="1"/>
        <v>11453.050000000003</v>
      </c>
      <c r="M38" s="214">
        <f t="shared" si="9"/>
        <v>1.2912660493809893</v>
      </c>
      <c r="N38" s="104">
        <f>E38-березень!E38</f>
        <v>14000</v>
      </c>
      <c r="O38" s="142">
        <f>F38-березень!F38</f>
        <v>6342.080000000002</v>
      </c>
      <c r="P38" s="105">
        <f t="shared" si="6"/>
        <v>-7657.919999999998</v>
      </c>
      <c r="Q38" s="103">
        <f>O38/N38*100</f>
        <v>45.30057142857144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18497.649999999998</v>
      </c>
      <c r="G41" s="149">
        <f>G42+G43+G44+G45+G46+G48+G50+G51+G52+G53+G54+G59+G60+G64</f>
        <v>-903.8600000000007</v>
      </c>
      <c r="H41" s="150">
        <f>F41/E41*100</f>
        <v>95.17944891816099</v>
      </c>
      <c r="I41" s="151">
        <f>F41-D41</f>
        <v>-40527.350000000006</v>
      </c>
      <c r="J41" s="151">
        <f>F41/D41*100</f>
        <v>31.338670055061414</v>
      </c>
      <c r="K41" s="149">
        <v>16760.63</v>
      </c>
      <c r="L41" s="149">
        <f t="shared" si="1"/>
        <v>1737.0199999999968</v>
      </c>
      <c r="M41" s="203">
        <f t="shared" si="9"/>
        <v>1.1036369157961243</v>
      </c>
      <c r="N41" s="149">
        <f>N42+N43+N44+N45+N46+N48+N50+N51+N52+N53+N54+N59+N60+N64+N47</f>
        <v>5120.8</v>
      </c>
      <c r="O41" s="149">
        <f>O42+O43+O44+O45+O46+O48+O50+O51+O52+O53+O54+O59+O60+O64+O47</f>
        <v>4623.41</v>
      </c>
      <c r="P41" s="149">
        <f>P42+P43+P44+P45+P46+P48+P50+P51+P52+P53+P54+P59+P60+P64</f>
        <v>-491.0900000000008</v>
      </c>
      <c r="Q41" s="149">
        <f>O41/N41*100</f>
        <v>90.28686923918137</v>
      </c>
      <c r="R41" s="15">
        <f>R42+R43+R44+R45+R46+R47+R48+R50+R51+R52+R53+R54+R59+R60+R64</f>
        <v>5581.6</v>
      </c>
      <c r="S41" s="15">
        <f>O41-R41</f>
        <v>-958.1900000000005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308.07</v>
      </c>
      <c r="G46" s="160">
        <f t="shared" si="12"/>
        <v>224.07</v>
      </c>
      <c r="H46" s="162">
        <f t="shared" si="10"/>
        <v>366.75</v>
      </c>
      <c r="I46" s="163">
        <f t="shared" si="13"/>
        <v>48.06999999999999</v>
      </c>
      <c r="J46" s="163">
        <f t="shared" si="16"/>
        <v>118.48846153846154</v>
      </c>
      <c r="K46" s="163">
        <v>34.2</v>
      </c>
      <c r="L46" s="163">
        <f t="shared" si="1"/>
        <v>273.87</v>
      </c>
      <c r="M46" s="216">
        <f t="shared" si="17"/>
        <v>9.007894736842104</v>
      </c>
      <c r="N46" s="162">
        <f>E46-березень!E46</f>
        <v>22</v>
      </c>
      <c r="O46" s="166">
        <f>F46-березень!F46</f>
        <v>30.310000000000002</v>
      </c>
      <c r="P46" s="165">
        <f t="shared" si="14"/>
        <v>8.310000000000002</v>
      </c>
      <c r="Q46" s="163">
        <f t="shared" si="11"/>
        <v>137.77272727272728</v>
      </c>
      <c r="R46" s="36">
        <v>22</v>
      </c>
      <c r="S46" s="36">
        <f t="shared" si="15"/>
        <v>8.310000000000002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344.89</v>
      </c>
      <c r="G48" s="160">
        <f t="shared" si="12"/>
        <v>4.889999999999986</v>
      </c>
      <c r="H48" s="162">
        <f t="shared" si="10"/>
        <v>101.43823529411765</v>
      </c>
      <c r="I48" s="163">
        <f t="shared" si="13"/>
        <v>-385.11</v>
      </c>
      <c r="J48" s="163">
        <f t="shared" si="16"/>
        <v>47.24520547945205</v>
      </c>
      <c r="K48" s="163">
        <v>0</v>
      </c>
      <c r="L48" s="163">
        <f t="shared" si="1"/>
        <v>344.89</v>
      </c>
      <c r="M48" s="216"/>
      <c r="N48" s="162">
        <f>E48-березень!E48</f>
        <v>60</v>
      </c>
      <c r="O48" s="166">
        <f>F48-березень!F48</f>
        <v>43.94</v>
      </c>
      <c r="P48" s="165">
        <f t="shared" si="14"/>
        <v>-16.060000000000002</v>
      </c>
      <c r="Q48" s="163">
        <f t="shared" si="11"/>
        <v>73.23333333333333</v>
      </c>
      <c r="R48" s="36">
        <v>100</v>
      </c>
      <c r="S48" s="36">
        <f t="shared" si="15"/>
        <v>-56.06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4084.5</v>
      </c>
      <c r="G50" s="160">
        <f t="shared" si="12"/>
        <v>-155.5</v>
      </c>
      <c r="H50" s="162">
        <f t="shared" si="10"/>
        <v>96.33254716981132</v>
      </c>
      <c r="I50" s="163">
        <f t="shared" si="13"/>
        <v>-6915.5</v>
      </c>
      <c r="J50" s="163">
        <f t="shared" si="16"/>
        <v>37.13181818181818</v>
      </c>
      <c r="K50" s="163">
        <v>3201.41</v>
      </c>
      <c r="L50" s="163">
        <f t="shared" si="1"/>
        <v>883.0900000000001</v>
      </c>
      <c r="M50" s="216">
        <f t="shared" si="17"/>
        <v>1.2758440812017207</v>
      </c>
      <c r="N50" s="162">
        <f>E50-березень!E50</f>
        <v>900</v>
      </c>
      <c r="O50" s="166">
        <f>F50-березень!F50</f>
        <v>499.55999999999995</v>
      </c>
      <c r="P50" s="165">
        <f t="shared" si="14"/>
        <v>-400.44000000000005</v>
      </c>
      <c r="Q50" s="163">
        <f t="shared" si="11"/>
        <v>55.50666666666666</v>
      </c>
      <c r="R50" s="36">
        <v>1200</v>
      </c>
      <c r="S50" s="36">
        <f t="shared" si="15"/>
        <v>-700.44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151.87</v>
      </c>
      <c r="G51" s="160">
        <f t="shared" si="12"/>
        <v>51.870000000000005</v>
      </c>
      <c r="H51" s="162">
        <f t="shared" si="10"/>
        <v>151.87</v>
      </c>
      <c r="I51" s="163">
        <f t="shared" si="13"/>
        <v>-158.13</v>
      </c>
      <c r="J51" s="163">
        <f t="shared" si="16"/>
        <v>48.99032258064516</v>
      </c>
      <c r="K51" s="163">
        <v>1.37</v>
      </c>
      <c r="L51" s="163">
        <f t="shared" si="1"/>
        <v>150.5</v>
      </c>
      <c r="M51" s="216"/>
      <c r="N51" s="162">
        <f>E51-березень!E51</f>
        <v>25</v>
      </c>
      <c r="O51" s="166">
        <f>F51-березень!F51</f>
        <v>16.670000000000016</v>
      </c>
      <c r="P51" s="165">
        <f t="shared" si="14"/>
        <v>-8.329999999999984</v>
      </c>
      <c r="Q51" s="163">
        <f t="shared" si="11"/>
        <v>66.68000000000006</v>
      </c>
      <c r="R51" s="36">
        <v>45</v>
      </c>
      <c r="S51" s="36">
        <f t="shared" si="15"/>
        <v>-28.329999999999984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10.4</v>
      </c>
      <c r="G52" s="160">
        <f t="shared" si="12"/>
        <v>6.4</v>
      </c>
      <c r="H52" s="162">
        <f t="shared" si="10"/>
        <v>260</v>
      </c>
      <c r="I52" s="163">
        <f t="shared" si="13"/>
        <v>-9.6</v>
      </c>
      <c r="J52" s="163">
        <f t="shared" si="16"/>
        <v>52</v>
      </c>
      <c r="K52" s="163">
        <v>0</v>
      </c>
      <c r="L52" s="163">
        <f t="shared" si="1"/>
        <v>10.4</v>
      </c>
      <c r="M52" s="216"/>
      <c r="N52" s="162">
        <f>E52-березень!E52</f>
        <v>1</v>
      </c>
      <c r="O52" s="166">
        <f>F52-березень!F52</f>
        <v>6.4</v>
      </c>
      <c r="P52" s="165">
        <f t="shared" si="14"/>
        <v>5.4</v>
      </c>
      <c r="Q52" s="163">
        <f t="shared" si="11"/>
        <v>640</v>
      </c>
      <c r="R52" s="36">
        <v>1</v>
      </c>
      <c r="S52" s="36">
        <f t="shared" si="15"/>
        <v>5.4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265.21</v>
      </c>
      <c r="G54" s="160">
        <f t="shared" si="12"/>
        <v>-64.79000000000002</v>
      </c>
      <c r="H54" s="162">
        <f t="shared" si="10"/>
        <v>80.36666666666666</v>
      </c>
      <c r="I54" s="163">
        <f t="shared" si="13"/>
        <v>-934.79</v>
      </c>
      <c r="J54" s="163">
        <f t="shared" si="16"/>
        <v>22.10083333333333</v>
      </c>
      <c r="K54" s="163">
        <v>1998.74</v>
      </c>
      <c r="L54" s="163">
        <f t="shared" si="1"/>
        <v>-1733.53</v>
      </c>
      <c r="M54" s="216">
        <f t="shared" si="17"/>
        <v>0.13268859381410286</v>
      </c>
      <c r="N54" s="162">
        <f>E54-березень!E54</f>
        <v>95</v>
      </c>
      <c r="O54" s="166">
        <f>F54-березень!F54</f>
        <v>19.20999999999998</v>
      </c>
      <c r="P54" s="165">
        <f t="shared" si="14"/>
        <v>-75.79000000000002</v>
      </c>
      <c r="Q54" s="163">
        <f t="shared" si="11"/>
        <v>20.221052631578925</v>
      </c>
      <c r="R54" s="36">
        <v>95</v>
      </c>
      <c r="S54" s="36">
        <f t="shared" si="15"/>
        <v>-75.79000000000002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235.99</v>
      </c>
      <c r="G55" s="33">
        <f t="shared" si="12"/>
        <v>-34.00999999999999</v>
      </c>
      <c r="H55" s="29">
        <f t="shared" si="10"/>
        <v>87.40370370370371</v>
      </c>
      <c r="I55" s="103">
        <f t="shared" si="13"/>
        <v>-762.01</v>
      </c>
      <c r="J55" s="103">
        <f t="shared" si="16"/>
        <v>23.646292585170343</v>
      </c>
      <c r="K55" s="103">
        <v>235.42</v>
      </c>
      <c r="L55" s="103">
        <f>F55-K55</f>
        <v>0.5700000000000216</v>
      </c>
      <c r="M55" s="108">
        <f t="shared" si="17"/>
        <v>1.0024212046555094</v>
      </c>
      <c r="N55" s="104">
        <f>E55-березень!E55</f>
        <v>80</v>
      </c>
      <c r="O55" s="142">
        <f>F55-березень!F55</f>
        <v>15.050000000000011</v>
      </c>
      <c r="P55" s="105">
        <f t="shared" si="14"/>
        <v>-64.94999999999999</v>
      </c>
      <c r="Q55" s="118">
        <f t="shared" si="11"/>
        <v>18.812500000000014</v>
      </c>
      <c r="R55" s="36"/>
      <c r="S55" s="36">
        <f t="shared" si="15"/>
        <v>15.050000000000011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29.12</v>
      </c>
      <c r="G58" s="33">
        <f t="shared" si="12"/>
        <v>-30.88</v>
      </c>
      <c r="H58" s="29">
        <f t="shared" si="10"/>
        <v>48.53333333333333</v>
      </c>
      <c r="I58" s="103">
        <f t="shared" si="13"/>
        <v>-170.88</v>
      </c>
      <c r="J58" s="103">
        <f t="shared" si="16"/>
        <v>14.56</v>
      </c>
      <c r="K58" s="103">
        <v>1763.16</v>
      </c>
      <c r="L58" s="103">
        <f>F58-K58</f>
        <v>-1734.0400000000002</v>
      </c>
      <c r="M58" s="108">
        <f t="shared" si="17"/>
        <v>0.016515801175162777</v>
      </c>
      <c r="N58" s="104">
        <f>E58-березень!E58</f>
        <v>15</v>
      </c>
      <c r="O58" s="142">
        <f>F58-березень!F58</f>
        <v>4.16</v>
      </c>
      <c r="P58" s="105">
        <f t="shared" si="14"/>
        <v>-10.84</v>
      </c>
      <c r="Q58" s="118">
        <f t="shared" si="11"/>
        <v>27.73333333333333</v>
      </c>
      <c r="R58" s="36"/>
      <c r="S58" s="36">
        <f t="shared" si="15"/>
        <v>4.16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3387.45</v>
      </c>
      <c r="G60" s="160">
        <f t="shared" si="12"/>
        <v>-272.5500000000002</v>
      </c>
      <c r="H60" s="162">
        <f t="shared" si="10"/>
        <v>92.55327868852459</v>
      </c>
      <c r="I60" s="163">
        <f t="shared" si="13"/>
        <v>-3962.55</v>
      </c>
      <c r="J60" s="163">
        <f t="shared" si="16"/>
        <v>46.08775510204081</v>
      </c>
      <c r="K60" s="163">
        <v>1974.46</v>
      </c>
      <c r="L60" s="163">
        <f aca="true" t="shared" si="18" ref="L60:L66">F60-K60</f>
        <v>1412.9899999999998</v>
      </c>
      <c r="M60" s="216">
        <f t="shared" si="17"/>
        <v>1.7156336416032736</v>
      </c>
      <c r="N60" s="162">
        <f>E60-березень!E60</f>
        <v>600</v>
      </c>
      <c r="O60" s="166">
        <f>F60-березень!F60</f>
        <v>311.7199999999998</v>
      </c>
      <c r="P60" s="165">
        <f t="shared" si="14"/>
        <v>-288.2800000000002</v>
      </c>
      <c r="Q60" s="163">
        <f t="shared" si="11"/>
        <v>51.9533333333333</v>
      </c>
      <c r="R60" s="36">
        <v>450</v>
      </c>
      <c r="S60" s="36">
        <f t="shared" si="15"/>
        <v>-138.2800000000002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574.63</v>
      </c>
      <c r="G62" s="160"/>
      <c r="H62" s="162"/>
      <c r="I62" s="163"/>
      <c r="J62" s="163"/>
      <c r="K62" s="164">
        <v>387.1</v>
      </c>
      <c r="L62" s="163">
        <f t="shared" si="18"/>
        <v>187.52999999999997</v>
      </c>
      <c r="M62" s="216">
        <f t="shared" si="17"/>
        <v>1.4844484629294754</v>
      </c>
      <c r="N62" s="193"/>
      <c r="O62" s="177">
        <f>F62-березень!F62</f>
        <v>146.89999999999998</v>
      </c>
      <c r="P62" s="164"/>
      <c r="Q62" s="163"/>
      <c r="R62" s="36"/>
      <c r="S62" s="36">
        <f t="shared" si="15"/>
        <v>146.89999999999998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349736.17000000004</v>
      </c>
      <c r="G67" s="149">
        <f>F67-E67</f>
        <v>-67680.92999999993</v>
      </c>
      <c r="H67" s="150">
        <f>F67/E67*100</f>
        <v>83.78577926012136</v>
      </c>
      <c r="I67" s="151">
        <f>F67-D67</f>
        <v>-1007754.93</v>
      </c>
      <c r="J67" s="151">
        <f>F67/D67*100</f>
        <v>25.763422684686475</v>
      </c>
      <c r="K67" s="151">
        <v>310905.14</v>
      </c>
      <c r="L67" s="151">
        <f>F67-K67</f>
        <v>38831.03000000003</v>
      </c>
      <c r="M67" s="217">
        <f>F67/K67</f>
        <v>1.1248967128687548</v>
      </c>
      <c r="N67" s="149">
        <f>N8+N41+N65+N66</f>
        <v>110560.2</v>
      </c>
      <c r="O67" s="149">
        <f>O8+O41+O65+O66</f>
        <v>42307.17</v>
      </c>
      <c r="P67" s="153">
        <f>O67-N67</f>
        <v>-68253.03</v>
      </c>
      <c r="Q67" s="151">
        <f>O67/N67*100</f>
        <v>38.266184395469615</v>
      </c>
      <c r="R67" s="26">
        <f>R8+R41+R65+R66</f>
        <v>110624.8</v>
      </c>
      <c r="S67" s="278">
        <f>O67-R67</f>
        <v>-68317.63</v>
      </c>
      <c r="T67" s="278"/>
      <c r="U67" s="114">
        <f>O67/34768</f>
        <v>1.216842211228716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2026.8999999999999</v>
      </c>
      <c r="G80" s="183">
        <f t="shared" si="19"/>
        <v>-14907.1</v>
      </c>
      <c r="H80" s="184">
        <f>F80/E80*100</f>
        <v>11.969410653123893</v>
      </c>
      <c r="I80" s="185">
        <f t="shared" si="20"/>
        <v>-235191.13</v>
      </c>
      <c r="J80" s="185">
        <f>F80/D80*100</f>
        <v>0.8544460132309504</v>
      </c>
      <c r="K80" s="185">
        <v>9587.22</v>
      </c>
      <c r="L80" s="185">
        <f t="shared" si="21"/>
        <v>-7560.32</v>
      </c>
      <c r="M80" s="212">
        <f>F80/K80</f>
        <v>0.21141686536868873</v>
      </c>
      <c r="N80" s="183">
        <f>N76+N77+N78+N79</f>
        <v>7451</v>
      </c>
      <c r="O80" s="187">
        <f>O76+O77+O78+O79</f>
        <v>642.3499999999999</v>
      </c>
      <c r="P80" s="185">
        <f t="shared" si="22"/>
        <v>-6808.65</v>
      </c>
      <c r="Q80" s="185">
        <f>O80/N80*100</f>
        <v>8.620990471077707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2222.09</v>
      </c>
      <c r="G83" s="160">
        <f t="shared" si="19"/>
        <v>-143.10999999999967</v>
      </c>
      <c r="H83" s="162">
        <f>F83/E83*100</f>
        <v>93.94934889227127</v>
      </c>
      <c r="I83" s="165">
        <f t="shared" si="20"/>
        <v>-6137.91</v>
      </c>
      <c r="J83" s="165">
        <f>F83/D83*100</f>
        <v>26.58002392344498</v>
      </c>
      <c r="K83" s="165">
        <v>2035.53</v>
      </c>
      <c r="L83" s="165">
        <f t="shared" si="21"/>
        <v>186.56000000000017</v>
      </c>
      <c r="M83" s="207"/>
      <c r="N83" s="162">
        <f>E83-березень!E83</f>
        <v>8.899999999999636</v>
      </c>
      <c r="O83" s="166">
        <f>F83-березень!F83</f>
        <v>4.140000000000327</v>
      </c>
      <c r="P83" s="165">
        <f>O83-N83</f>
        <v>-4.759999999999309</v>
      </c>
      <c r="Q83" s="188">
        <f>O83/N83*100</f>
        <v>46.516853932589854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2231.1200000000003</v>
      </c>
      <c r="G85" s="181">
        <f>G81+G84+G82+G83</f>
        <v>-136.57999999999967</v>
      </c>
      <c r="H85" s="184">
        <f>F85/E85*100</f>
        <v>94.23153271106983</v>
      </c>
      <c r="I85" s="185">
        <f t="shared" si="20"/>
        <v>-6168.879999999999</v>
      </c>
      <c r="J85" s="185">
        <f>F85/D85*100</f>
        <v>26.560952380952386</v>
      </c>
      <c r="K85" s="185">
        <v>2039.11</v>
      </c>
      <c r="L85" s="185">
        <f t="shared" si="21"/>
        <v>192.01000000000045</v>
      </c>
      <c r="M85" s="218">
        <f t="shared" si="23"/>
        <v>1.0941636302112199</v>
      </c>
      <c r="N85" s="183">
        <f>N81+N84+N82+N83</f>
        <v>10.899999999999636</v>
      </c>
      <c r="O85" s="187">
        <f>O81+O84+O82+O83</f>
        <v>4.360000000000328</v>
      </c>
      <c r="P85" s="183">
        <f>P81+P84+P82+P83</f>
        <v>-6.539999999999308</v>
      </c>
      <c r="Q85" s="185">
        <f>O85/N85*100</f>
        <v>40.00000000000434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7.31</v>
      </c>
      <c r="G86" s="160">
        <f t="shared" si="19"/>
        <v>-6.79</v>
      </c>
      <c r="H86" s="162">
        <f>F86/E86*100</f>
        <v>51.843971631205676</v>
      </c>
      <c r="I86" s="165">
        <f t="shared" si="20"/>
        <v>-30.69</v>
      </c>
      <c r="J86" s="165">
        <f>F86/D86*100</f>
        <v>19.236842105263158</v>
      </c>
      <c r="K86" s="165">
        <v>9.19</v>
      </c>
      <c r="L86" s="165">
        <f t="shared" si="21"/>
        <v>-1.88</v>
      </c>
      <c r="M86" s="207">
        <f t="shared" si="23"/>
        <v>0.795429815016322</v>
      </c>
      <c r="N86" s="162">
        <f>E86-березень!E86</f>
        <v>1.1999999999999993</v>
      </c>
      <c r="O86" s="166">
        <f>F86-березень!F86</f>
        <v>0.1899999999999995</v>
      </c>
      <c r="P86" s="165">
        <f t="shared" si="22"/>
        <v>-1.0099999999999998</v>
      </c>
      <c r="Q86" s="165">
        <f>O86/N86</f>
        <v>0.15833333333333302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4300.91</v>
      </c>
      <c r="G88" s="190">
        <f>F88-E88</f>
        <v>-15014.89</v>
      </c>
      <c r="H88" s="191">
        <f>F88/E88*100</f>
        <v>22.266279418921297</v>
      </c>
      <c r="I88" s="192">
        <f>F88-D88</f>
        <v>-241355.12</v>
      </c>
      <c r="J88" s="192">
        <f>F88/D88*100</f>
        <v>1.7507854376707137</v>
      </c>
      <c r="K88" s="192">
        <v>11639.75</v>
      </c>
      <c r="L88" s="192">
        <f>F88-K88</f>
        <v>-7338.84</v>
      </c>
      <c r="M88" s="219">
        <f t="shared" si="23"/>
        <v>0.36950192229214546</v>
      </c>
      <c r="N88" s="189">
        <f>N74+N86+N80+N85+N87</f>
        <v>7463.099999999999</v>
      </c>
      <c r="O88" s="189">
        <f>O74+O86+O80+O85+O87</f>
        <v>646.9000000000003</v>
      </c>
      <c r="P88" s="192">
        <f t="shared" si="22"/>
        <v>-6816.199999999999</v>
      </c>
      <c r="Q88" s="192">
        <f>O88/N88*100</f>
        <v>8.667979793919422</v>
      </c>
      <c r="R88" s="26">
        <f>O88-8104.96</f>
        <v>-7458.0599999999995</v>
      </c>
      <c r="S88" s="26"/>
      <c r="T88" s="26"/>
      <c r="U88" s="94">
        <f>O88/8104.96</f>
        <v>0.07981532296272903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354037.08</v>
      </c>
      <c r="G89" s="190">
        <f>F89-E89</f>
        <v>-82695.81999999995</v>
      </c>
      <c r="H89" s="191">
        <f>F89/E89*100</f>
        <v>81.06489801890355</v>
      </c>
      <c r="I89" s="192">
        <f>F89-D89</f>
        <v>-1249110.05</v>
      </c>
      <c r="J89" s="192">
        <f>F89/D89*100</f>
        <v>22.083879475241925</v>
      </c>
      <c r="K89" s="192">
        <f>K67+K88</f>
        <v>322544.89</v>
      </c>
      <c r="L89" s="192">
        <f>F89-K89</f>
        <v>31492.190000000002</v>
      </c>
      <c r="M89" s="219">
        <f t="shared" si="23"/>
        <v>1.0976366111396154</v>
      </c>
      <c r="N89" s="190">
        <f>N67+N88</f>
        <v>118023.3</v>
      </c>
      <c r="O89" s="190">
        <f>O67+O88</f>
        <v>42954.07</v>
      </c>
      <c r="P89" s="192">
        <f t="shared" si="22"/>
        <v>-75069.23000000001</v>
      </c>
      <c r="Q89" s="192">
        <f>O89/N89*100</f>
        <v>36.39456785228001</v>
      </c>
      <c r="R89" s="26">
        <f>O89-42872.96</f>
        <v>81.11000000000058</v>
      </c>
      <c r="S89" s="26"/>
      <c r="T89" s="26"/>
      <c r="U89" s="94">
        <f>O89/42872.96</f>
        <v>1.0018918684410874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6825.303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42838</v>
      </c>
      <c r="D93" s="28">
        <v>6394.8</v>
      </c>
      <c r="G93" s="4" t="s">
        <v>58</v>
      </c>
      <c r="O93" s="307"/>
      <c r="P93" s="307"/>
    </row>
    <row r="94" spans="3:16" ht="15">
      <c r="C94" s="80">
        <v>42837</v>
      </c>
      <c r="D94" s="28">
        <v>2642.8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42836</v>
      </c>
      <c r="D95" s="28">
        <v>2615.2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6.879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507.15999999999997</v>
      </c>
      <c r="G100" s="67">
        <f>G48+G51+G52</f>
        <v>63.15999999999999</v>
      </c>
      <c r="H100" s="68"/>
      <c r="I100" s="68"/>
      <c r="N100" s="28">
        <f>N48+N51+N52</f>
        <v>86</v>
      </c>
      <c r="O100" s="200">
        <f>O48+O51+O52</f>
        <v>67.01000000000002</v>
      </c>
      <c r="P100" s="28">
        <f>P48+P51+P52</f>
        <v>-18.989999999999988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331061.02</v>
      </c>
      <c r="G102" s="28">
        <f>F102-E102</f>
        <v>-67004.07999999996</v>
      </c>
      <c r="H102" s="228">
        <f>F102/E102</f>
        <v>0.8316755726638684</v>
      </c>
      <c r="I102" s="28">
        <f>F102-D102</f>
        <v>-967987.5800000001</v>
      </c>
      <c r="J102" s="228">
        <f>F102/D102</f>
        <v>0.25484883321532387</v>
      </c>
      <c r="N102" s="28">
        <f>N9+N15+N17+N18+N19+N23+N42+N45+N65+N59</f>
        <v>105439.4</v>
      </c>
      <c r="O102" s="227">
        <f>O9+O15+O17+O18+O19+O23+O42+O45+O65+O59</f>
        <v>37683.68</v>
      </c>
      <c r="P102" s="28">
        <f>O102-N102</f>
        <v>-67755.72</v>
      </c>
      <c r="Q102" s="228">
        <f>O102/N102</f>
        <v>0.3573965709213065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18675.149999999998</v>
      </c>
      <c r="G103" s="28">
        <f>G43+G44+G46+G48+G50+G51+G52+G53+G54+G60+G64+G47</f>
        <v>-671.6000000000007</v>
      </c>
      <c r="H103" s="228">
        <f>F103/E103</f>
        <v>0.9650242868954112</v>
      </c>
      <c r="I103" s="28">
        <f>I43+I44+I46+I48+I50+I51+I52+I53+I54+I60+I64+I47</f>
        <v>-39762.100000000006</v>
      </c>
      <c r="J103" s="228">
        <f>F103/D103</f>
        <v>0.31954741840270345</v>
      </c>
      <c r="K103" s="28">
        <f aca="true" t="shared" si="24" ref="K103:P103">K43+K44+K46+K48+K50+K51+K52+K53+K54+K60+K64+K47</f>
        <v>16662.34</v>
      </c>
      <c r="L103" s="28">
        <f t="shared" si="24"/>
        <v>2018.0599999999995</v>
      </c>
      <c r="M103" s="28">
        <f t="shared" si="24"/>
        <v>17.442776063169003</v>
      </c>
      <c r="N103" s="28">
        <f>N43+N44+N46+N48+N50+N51+N52+N53+N54+N60+N64+N47+N66</f>
        <v>5120.8</v>
      </c>
      <c r="O103" s="227">
        <f>O43+O44+O46+O48+O50+O51+O52+O53+O54+O60+O64+O47+O66</f>
        <v>4623.49</v>
      </c>
      <c r="P103" s="28">
        <f t="shared" si="24"/>
        <v>-497.39000000000084</v>
      </c>
      <c r="Q103" s="228">
        <f>O103/N103</f>
        <v>0.9028843149507889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349736.17000000004</v>
      </c>
      <c r="G104" s="28">
        <f t="shared" si="25"/>
        <v>-67675.67999999996</v>
      </c>
      <c r="H104" s="228">
        <f>F104/E104</f>
        <v>0.8378577926012136</v>
      </c>
      <c r="I104" s="28">
        <f t="shared" si="25"/>
        <v>-1007749.68</v>
      </c>
      <c r="J104" s="228">
        <f>F104/D104</f>
        <v>0.25763422684686477</v>
      </c>
      <c r="K104" s="28">
        <f t="shared" si="25"/>
        <v>16662.34</v>
      </c>
      <c r="L104" s="28">
        <f t="shared" si="25"/>
        <v>2018.0599999999995</v>
      </c>
      <c r="M104" s="28">
        <f t="shared" si="25"/>
        <v>17.442776063169003</v>
      </c>
      <c r="N104" s="28">
        <f t="shared" si="25"/>
        <v>110560.2</v>
      </c>
      <c r="O104" s="227">
        <f t="shared" si="25"/>
        <v>42307.17</v>
      </c>
      <c r="P104" s="28">
        <f t="shared" si="25"/>
        <v>-68253.11</v>
      </c>
      <c r="Q104" s="228">
        <f>O104/N104</f>
        <v>0.38266184395469616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-5.249999999970896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36812.97000000003</v>
      </c>
      <c r="M105" s="28">
        <f t="shared" si="26"/>
        <v>-16.31787935030025</v>
      </c>
      <c r="N105" s="28">
        <f t="shared" si="26"/>
        <v>0</v>
      </c>
      <c r="O105" s="28">
        <f t="shared" si="26"/>
        <v>0</v>
      </c>
      <c r="P105" s="28">
        <f t="shared" si="26"/>
        <v>0.08000000000174623</v>
      </c>
      <c r="Q105" s="28"/>
      <c r="R105" s="28">
        <f t="shared" si="26"/>
        <v>110624.8</v>
      </c>
      <c r="S105" s="28"/>
      <c r="T105" s="28"/>
      <c r="U105" s="28">
        <f t="shared" si="26"/>
        <v>1.216842211228716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24555.23</v>
      </c>
      <c r="G111" s="190">
        <f>F111-E111</f>
        <v>-12862.630000000001</v>
      </c>
      <c r="H111" s="191">
        <f>F111/E111*100</f>
        <v>65.62435692474129</v>
      </c>
      <c r="I111" s="192">
        <f>F111-D111</f>
        <v>-293509.02</v>
      </c>
      <c r="J111" s="192">
        <f>F111/D111*100</f>
        <v>7.720210617823285</v>
      </c>
      <c r="K111" s="192">
        <v>3039.87</v>
      </c>
      <c r="L111" s="192">
        <f>F111-K111</f>
        <v>21515.36</v>
      </c>
      <c r="M111" s="267">
        <f>F111/K111</f>
        <v>8.077723718448487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374291.4</v>
      </c>
      <c r="G112" s="190">
        <f>F112-E112</f>
        <v>-80543.55999999994</v>
      </c>
      <c r="H112" s="191">
        <f>F112/E112*100</f>
        <v>82.29169543167923</v>
      </c>
      <c r="I112" s="192">
        <f>F112-D112</f>
        <v>-1301263.9500000002</v>
      </c>
      <c r="J112" s="192">
        <f>F112/D112*100</f>
        <v>22.338348894293468</v>
      </c>
      <c r="K112" s="192">
        <f>K89+K111</f>
        <v>325584.76</v>
      </c>
      <c r="L112" s="192">
        <f>F112-K112</f>
        <v>48706.640000000014</v>
      </c>
      <c r="M112" s="267">
        <f>F112/K112</f>
        <v>1.1495974197318082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920120.48</v>
      </c>
      <c r="G124" s="276">
        <f t="shared" si="28"/>
        <v>-85370.07999999996</v>
      </c>
      <c r="H124" s="275">
        <f t="shared" si="30"/>
        <v>91.50960900120236</v>
      </c>
      <c r="I124" s="277">
        <f t="shared" si="29"/>
        <v>-1978303.56</v>
      </c>
      <c r="J124" s="277">
        <f t="shared" si="31"/>
        <v>31.745544037096796</v>
      </c>
      <c r="Q124" s="240"/>
    </row>
    <row r="125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6" t="s">
        <v>174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  <c r="T1" s="244"/>
      <c r="U1" s="247"/>
      <c r="V1" s="257"/>
      <c r="W1" s="257"/>
    </row>
    <row r="2" spans="2:23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151</v>
      </c>
      <c r="O3" s="299" t="s">
        <v>152</v>
      </c>
      <c r="P3" s="299"/>
      <c r="Q3" s="299"/>
      <c r="R3" s="299"/>
      <c r="S3" s="299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88"/>
      <c r="B4" s="290"/>
      <c r="C4" s="291"/>
      <c r="D4" s="292"/>
      <c r="E4" s="282" t="s">
        <v>141</v>
      </c>
      <c r="F4" s="308" t="s">
        <v>33</v>
      </c>
      <c r="G4" s="300" t="s">
        <v>150</v>
      </c>
      <c r="H4" s="297" t="s">
        <v>165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175</v>
      </c>
      <c r="P4" s="300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157</v>
      </c>
      <c r="L5" s="304"/>
      <c r="M5" s="305"/>
      <c r="N5" s="298"/>
      <c r="O5" s="285"/>
      <c r="P5" s="301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7"/>
      <c r="P93" s="307"/>
    </row>
    <row r="94" spans="3:16" ht="15">
      <c r="C94" s="80">
        <v>42824</v>
      </c>
      <c r="D94" s="28">
        <v>11112.7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42823</v>
      </c>
      <c r="D95" s="28">
        <v>8830.3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1399.2856000000002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6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132</v>
      </c>
      <c r="O3" s="299" t="s">
        <v>136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137</v>
      </c>
      <c r="F4" s="308" t="s">
        <v>33</v>
      </c>
      <c r="G4" s="300" t="s">
        <v>133</v>
      </c>
      <c r="H4" s="297" t="s">
        <v>134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140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135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7"/>
      <c r="P90" s="307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42790</v>
      </c>
      <c r="D92" s="28">
        <v>4206.9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v>7713.34596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6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121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119</v>
      </c>
      <c r="O3" s="299" t="s">
        <v>115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122</v>
      </c>
      <c r="F4" s="308" t="s">
        <v>33</v>
      </c>
      <c r="G4" s="300" t="s">
        <v>123</v>
      </c>
      <c r="H4" s="297" t="s">
        <v>124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120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129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7"/>
      <c r="P90" s="307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42762</v>
      </c>
      <c r="D92" s="28">
        <v>8862.4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f>9505303.41/1000</f>
        <v>9505.30341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2017-04-14T07:30:44Z</cp:lastPrinted>
  <dcterms:created xsi:type="dcterms:W3CDTF">2003-07-28T11:27:56Z</dcterms:created>
  <dcterms:modified xsi:type="dcterms:W3CDTF">2017-04-14T07:48:44Z</dcterms:modified>
  <cp:category/>
  <cp:version/>
  <cp:contentType/>
  <cp:contentStatus/>
</cp:coreProperties>
</file>